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vans\Downloads\"/>
    </mc:Choice>
  </mc:AlternateContent>
  <xr:revisionPtr revIDLastSave="0" documentId="8_{8AAAE685-136C-4A45-BF7A-2771E3AD44C0}" xr6:coauthVersionLast="45" xr6:coauthVersionMax="45" xr10:uidLastSave="{00000000-0000-0000-0000-000000000000}"/>
  <bookViews>
    <workbookView xWindow="-110" yWindow="-110" windowWidth="19420" windowHeight="104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21" i="1"/>
  <c r="C83" i="1"/>
  <c r="B113" i="1"/>
  <c r="D108" i="1"/>
  <c r="C105" i="1"/>
  <c r="D105" i="1"/>
  <c r="C103" i="1"/>
  <c r="D103" i="1"/>
  <c r="C27" i="1"/>
  <c r="D27" i="1"/>
  <c r="C25" i="1"/>
  <c r="D25" i="1"/>
  <c r="C23" i="1"/>
  <c r="D23" i="1"/>
  <c r="C97" i="1"/>
  <c r="C93" i="1"/>
  <c r="C89" i="1"/>
  <c r="B77" i="1"/>
  <c r="B60" i="1"/>
  <c r="B63" i="1"/>
  <c r="B65" i="1"/>
  <c r="B67" i="1"/>
  <c r="B69" i="1"/>
  <c r="B71" i="1"/>
  <c r="B73" i="1"/>
  <c r="B75" i="1"/>
  <c r="B58" i="1"/>
  <c r="B56" i="1"/>
  <c r="B54" i="1"/>
  <c r="B52" i="1"/>
  <c r="B50" i="1"/>
  <c r="B48" i="1"/>
  <c r="B46" i="1"/>
  <c r="C33" i="1"/>
  <c r="D33" i="1"/>
  <c r="D41" i="1"/>
  <c r="D39" i="1"/>
  <c r="D37" i="1"/>
  <c r="C31" i="1"/>
  <c r="D31" i="1"/>
  <c r="C29" i="1"/>
  <c r="D29" i="1"/>
</calcChain>
</file>

<file path=xl/sharedStrings.xml><?xml version="1.0" encoding="utf-8"?>
<sst xmlns="http://schemas.openxmlformats.org/spreadsheetml/2006/main" count="100" uniqueCount="54">
  <si>
    <t>LBS</t>
  </si>
  <si>
    <t>DIST</t>
  </si>
  <si>
    <t>(PPV)</t>
  </si>
  <si>
    <t>Upper Bounds RI 8507 (Bituminous Coal Mines Worst Case)</t>
  </si>
  <si>
    <t>Mean Line RI 8507 (Bituminous Coal Mines Average)</t>
  </si>
  <si>
    <t>Upper Bounds Oriard (Construction Worst Case-Not Highly Confined)</t>
  </si>
  <si>
    <t>Lower Bounds Oriard (Construction Best Case Lightly Confined)</t>
  </si>
  <si>
    <t>Upper Bounds BU 656 (Quarry Production Blasts Worst Case)</t>
  </si>
  <si>
    <t>DIST 1</t>
  </si>
  <si>
    <t>DIST 2</t>
  </si>
  <si>
    <t>PPV 1</t>
  </si>
  <si>
    <t>PPV 2</t>
  </si>
  <si>
    <t xml:space="preserve">Bituminous Coal Mines </t>
  </si>
  <si>
    <t>Construction Blasting</t>
  </si>
  <si>
    <t>Quarry Blasting</t>
  </si>
  <si>
    <t>SD^.5</t>
  </si>
  <si>
    <t>(SD^.5)</t>
  </si>
  <si>
    <t>PPV</t>
  </si>
  <si>
    <t>Maximum amount of explosives per delay in pounds.</t>
  </si>
  <si>
    <t>Distance to the point of concern.</t>
  </si>
  <si>
    <t>Predicted peak particle velocity.</t>
  </si>
  <si>
    <t>Distance to the point of the point of concern.</t>
  </si>
  <si>
    <t>The known peak particle velocity measurement.</t>
  </si>
  <si>
    <t>Unusually High Confinement Oriard (Construction, i.e. Trenching With low PF)</t>
  </si>
  <si>
    <t xml:space="preserve"> </t>
  </si>
  <si>
    <t>Construction Average (taken from Oriard)</t>
  </si>
  <si>
    <t>Average BU 656 (Quarry Production Blasts Average)</t>
  </si>
  <si>
    <t>FQ</t>
  </si>
  <si>
    <t>DISP</t>
  </si>
  <si>
    <t>Distance to the point of the known peak particle velocity.</t>
  </si>
  <si>
    <t>ACC/g's</t>
  </si>
  <si>
    <t>Seismic Exploration</t>
  </si>
  <si>
    <t>Upper Bounds Seismic Exploration</t>
  </si>
  <si>
    <t>Average Seismic Exploration</t>
  </si>
  <si>
    <t>mm/sec</t>
  </si>
  <si>
    <t>in/sec</t>
  </si>
  <si>
    <t>Metric Conversion</t>
  </si>
  <si>
    <t>Z-Curve Compliance Calculations</t>
  </si>
  <si>
    <t>From 2.65 to 9.95 Hz the limit is 0.50 in/s for plaster structures. From 4 to 15 Hz the limit is 0.75 in/s for drywall structures.</t>
  </si>
  <si>
    <t xml:space="preserve">Allowable displacements at frequencies between 9.95 and 40 Hz is 0.008 in. The displacement limit at frequencies from 1 to 2.65 or 4 Hz is 0.03 in.  </t>
  </si>
  <si>
    <t>PPV for a Given Distance and Charge Weight</t>
  </si>
  <si>
    <t>Note: Only solve for PPV 2 if you have a reasonable degree of certainty that the ground vibration travel path to DIST 2 is similar to that of DIST 1.</t>
  </si>
  <si>
    <t>Working with Ground Vibrations</t>
  </si>
  <si>
    <r>
      <t>bolded (</t>
    </r>
    <r>
      <rPr>
        <sz val="10"/>
        <rFont val="Arial"/>
        <family val="2"/>
      </rPr>
      <t>SD^2</t>
    </r>
    <r>
      <rPr>
        <b/>
        <sz val="10"/>
        <rFont val="Arial"/>
      </rPr>
      <t xml:space="preserve">, </t>
    </r>
    <r>
      <rPr>
        <sz val="10"/>
        <rFont val="Arial"/>
        <family val="2"/>
      </rPr>
      <t>PPV</t>
    </r>
    <r>
      <rPr>
        <b/>
        <sz val="10"/>
        <rFont val="Arial"/>
      </rPr>
      <t xml:space="preserve">, </t>
    </r>
    <r>
      <rPr>
        <sz val="10"/>
        <rFont val="Arial"/>
        <family val="2"/>
      </rPr>
      <t>PPV 2</t>
    </r>
    <r>
      <rPr>
        <b/>
        <sz val="10"/>
        <rFont val="Arial"/>
      </rPr>
      <t xml:space="preserve">, and </t>
    </r>
    <r>
      <rPr>
        <sz val="10"/>
        <rFont val="Arial"/>
        <family val="2"/>
      </rPr>
      <t>SD^2</t>
    </r>
    <r>
      <rPr>
        <b/>
        <sz val="10"/>
        <rFont val="Arial"/>
      </rPr>
      <t xml:space="preserve">).   </t>
    </r>
  </si>
  <si>
    <t>Square root scaled distance.</t>
  </si>
  <si>
    <t>Estimating PPV from a Known PPV</t>
  </si>
  <si>
    <t>SD for a Given PPV</t>
  </si>
  <si>
    <t xml:space="preserve">If PPV/frequency is on or slightly above the Z-curve graph it is important to know if it is over the line or to know how far over.  </t>
  </si>
  <si>
    <t>Frequency at the PPV</t>
  </si>
  <si>
    <t xml:space="preserve">    The peak particle velocity at the point of concern.</t>
  </si>
  <si>
    <t xml:space="preserve">    Ground displacement, the actual amount of ground movement.</t>
  </si>
  <si>
    <t>Acceleration at the PPV in graveties</t>
  </si>
  <si>
    <t>Enter your Values under the bolded labels and over the example values!!</t>
  </si>
  <si>
    <t>Entering data in the fields under the bolded labels (LBS, DIST, DIST 1, DIST 2, PPV 1, PPV) will solve for values under the labels 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</si>
</sst>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0.0000"/>
  </numFmts>
  <fonts count="10" x14ac:knownFonts="1">
    <font>
      <sz val="10"/>
      <name val="Arial"/>
    </font>
    <font>
      <sz val="10"/>
      <name val="Arial"/>
    </font>
    <font>
      <b/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indexed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Alignment="1"/>
    <xf numFmtId="0" fontId="1" fillId="0" borderId="0" xfId="0" applyFont="1"/>
    <xf numFmtId="0" fontId="6" fillId="0" borderId="0" xfId="0" applyFont="1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0" xfId="0" applyFont="1" applyFill="1" applyBorder="1" applyAlignme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9" fontId="0" fillId="0" borderId="0" xfId="0" applyNumberFormat="1" applyAlignment="1">
      <alignment horizontal="left" indent="1"/>
    </xf>
    <xf numFmtId="2" fontId="0" fillId="0" borderId="0" xfId="0" applyNumberFormat="1" applyAlignment="1">
      <alignment horizontal="left" indent="1"/>
    </xf>
    <xf numFmtId="2" fontId="2" fillId="0" borderId="0" xfId="0" applyNumberFormat="1" applyFont="1" applyAlignment="1">
      <alignment horizontal="left" indent="1"/>
    </xf>
    <xf numFmtId="1" fontId="0" fillId="0" borderId="0" xfId="0" applyNumberFormat="1" applyAlignment="1">
      <alignment horizontal="left" indent="1"/>
    </xf>
    <xf numFmtId="2" fontId="0" fillId="0" borderId="0" xfId="0" applyNumberFormat="1"/>
    <xf numFmtId="1" fontId="0" fillId="0" borderId="0" xfId="0" applyNumberFormat="1"/>
    <xf numFmtId="0" fontId="4" fillId="0" borderId="0" xfId="0" applyFont="1" applyAlignment="1"/>
    <xf numFmtId="0" fontId="7" fillId="0" borderId="0" xfId="0" applyFont="1"/>
    <xf numFmtId="0" fontId="4" fillId="0" borderId="0" xfId="0" applyFont="1" applyAlignment="1">
      <alignment horizontal="left" indent="1"/>
    </xf>
    <xf numFmtId="0" fontId="8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workbookViewId="0">
      <selection activeCell="M109" sqref="M109"/>
    </sheetView>
  </sheetViews>
  <sheetFormatPr defaultRowHeight="12.5" x14ac:dyDescent="0.25"/>
  <cols>
    <col min="3" max="3" width="14.36328125" style="9" bestFit="1" customWidth="1"/>
  </cols>
  <sheetData>
    <row r="1" spans="1:14" ht="18" x14ac:dyDescent="0.4">
      <c r="A1" s="19" t="s">
        <v>42</v>
      </c>
    </row>
    <row r="2" spans="1:14" ht="18" x14ac:dyDescent="0.4">
      <c r="A2" s="19"/>
    </row>
    <row r="3" spans="1:14" ht="15.5" x14ac:dyDescent="0.35">
      <c r="A3" s="4" t="s">
        <v>52</v>
      </c>
      <c r="B3" s="2"/>
      <c r="D3" s="2"/>
      <c r="E3" s="2"/>
      <c r="F3" s="2"/>
      <c r="G3" s="2"/>
      <c r="H3" s="2"/>
      <c r="I3" s="2"/>
      <c r="J3" s="2"/>
      <c r="K3" s="2"/>
      <c r="L3" s="2"/>
    </row>
    <row r="4" spans="1:14" ht="13" x14ac:dyDescent="0.3">
      <c r="A4" s="23" t="s">
        <v>53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4"/>
      <c r="N4" s="24"/>
    </row>
    <row r="5" spans="1:14" ht="13" x14ac:dyDescent="0.3">
      <c r="A5" s="23" t="s">
        <v>43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4"/>
      <c r="N5" s="24"/>
    </row>
    <row r="7" spans="1:14" ht="13" x14ac:dyDescent="0.3">
      <c r="A7" s="1" t="s">
        <v>0</v>
      </c>
      <c r="C7" s="10" t="s">
        <v>18</v>
      </c>
      <c r="D7" s="7"/>
      <c r="E7" s="7"/>
      <c r="F7" s="7"/>
      <c r="G7" s="7"/>
      <c r="H7" s="7"/>
      <c r="I7" s="7"/>
    </row>
    <row r="8" spans="1:14" ht="13" x14ac:dyDescent="0.3">
      <c r="A8" s="1" t="s">
        <v>1</v>
      </c>
      <c r="C8" s="10" t="s">
        <v>19</v>
      </c>
      <c r="D8" s="7"/>
      <c r="E8" s="7"/>
      <c r="F8" s="7"/>
      <c r="G8" s="7"/>
      <c r="H8" s="7"/>
      <c r="I8" s="7"/>
    </row>
    <row r="9" spans="1:14" ht="13" x14ac:dyDescent="0.3">
      <c r="A9" s="1" t="s">
        <v>15</v>
      </c>
      <c r="C9" s="20" t="s">
        <v>44</v>
      </c>
      <c r="D9" s="7"/>
      <c r="E9" s="7"/>
      <c r="F9" s="7"/>
      <c r="G9" s="7"/>
      <c r="H9" s="7"/>
      <c r="I9" s="7"/>
    </row>
    <row r="10" spans="1:14" ht="13" x14ac:dyDescent="0.3">
      <c r="A10" s="1" t="s">
        <v>17</v>
      </c>
      <c r="C10" s="11" t="s">
        <v>20</v>
      </c>
      <c r="D10" s="8"/>
      <c r="E10" s="8"/>
      <c r="F10" s="8"/>
      <c r="G10" s="8"/>
      <c r="H10" s="8"/>
      <c r="I10" s="8"/>
    </row>
    <row r="11" spans="1:14" ht="13" x14ac:dyDescent="0.3">
      <c r="A11" s="1" t="s">
        <v>8</v>
      </c>
      <c r="C11" s="11" t="s">
        <v>29</v>
      </c>
      <c r="D11" s="8"/>
      <c r="E11" s="8"/>
      <c r="F11" s="8"/>
      <c r="G11" s="8"/>
      <c r="H11" s="8"/>
      <c r="I11" s="8"/>
      <c r="J11" s="2"/>
    </row>
    <row r="12" spans="1:14" ht="13" x14ac:dyDescent="0.3">
      <c r="A12" s="1" t="s">
        <v>9</v>
      </c>
      <c r="C12" s="11" t="s">
        <v>21</v>
      </c>
      <c r="D12" s="8"/>
      <c r="E12" s="8"/>
      <c r="F12" s="8"/>
      <c r="G12" s="8"/>
      <c r="H12" s="8"/>
      <c r="I12" s="8"/>
    </row>
    <row r="13" spans="1:14" ht="13" x14ac:dyDescent="0.3">
      <c r="A13" s="1" t="s">
        <v>10</v>
      </c>
      <c r="C13" s="11" t="s">
        <v>22</v>
      </c>
      <c r="D13" s="8"/>
      <c r="E13" s="8"/>
      <c r="F13" s="8"/>
      <c r="G13" s="8"/>
      <c r="H13" s="8"/>
      <c r="I13" s="8"/>
    </row>
    <row r="14" spans="1:14" ht="13" x14ac:dyDescent="0.3">
      <c r="A14" s="1" t="s">
        <v>11</v>
      </c>
      <c r="C14" s="25" t="s">
        <v>49</v>
      </c>
      <c r="D14" s="26"/>
      <c r="E14" s="26"/>
      <c r="F14" s="26"/>
      <c r="G14" s="26"/>
      <c r="H14" s="26"/>
      <c r="I14" s="26"/>
    </row>
    <row r="15" spans="1:14" ht="13" x14ac:dyDescent="0.3">
      <c r="A15" s="5" t="s">
        <v>28</v>
      </c>
      <c r="C15" s="23" t="s">
        <v>50</v>
      </c>
      <c r="D15" s="24"/>
      <c r="E15" s="24"/>
      <c r="F15" s="24"/>
      <c r="G15" s="24"/>
      <c r="H15" s="24"/>
      <c r="I15" s="24"/>
    </row>
    <row r="16" spans="1:14" ht="13" x14ac:dyDescent="0.3">
      <c r="A16" s="5" t="s">
        <v>27</v>
      </c>
      <c r="C16" s="20" t="s">
        <v>48</v>
      </c>
    </row>
    <row r="17" spans="1:14" ht="13" x14ac:dyDescent="0.3">
      <c r="A17" s="1" t="s">
        <v>30</v>
      </c>
      <c r="C17" s="20" t="s">
        <v>51</v>
      </c>
    </row>
    <row r="18" spans="1:14" ht="13" x14ac:dyDescent="0.3">
      <c r="A18" s="1"/>
      <c r="C18" s="20"/>
    </row>
    <row r="19" spans="1:14" ht="15.5" x14ac:dyDescent="0.35">
      <c r="A19" s="21" t="s">
        <v>40</v>
      </c>
    </row>
    <row r="20" spans="1:14" ht="13" x14ac:dyDescent="0.3">
      <c r="A20" s="1" t="s">
        <v>0</v>
      </c>
      <c r="B20" s="1" t="s">
        <v>1</v>
      </c>
      <c r="C20" s="9" t="s">
        <v>16</v>
      </c>
      <c r="D20" t="s">
        <v>2</v>
      </c>
    </row>
    <row r="21" spans="1:14" ht="13" x14ac:dyDescent="0.3">
      <c r="A21">
        <v>3200</v>
      </c>
      <c r="B21">
        <v>2300</v>
      </c>
      <c r="C21" s="15">
        <f>B21/A21^0.5</f>
        <v>40.658639918226484</v>
      </c>
      <c r="D21" s="16">
        <f>C21^-1.52*438</f>
        <v>1.5687790582928676</v>
      </c>
      <c r="F21" s="22" t="s">
        <v>3</v>
      </c>
      <c r="G21" s="22"/>
      <c r="H21" s="22"/>
      <c r="I21" s="22"/>
      <c r="J21" s="22"/>
      <c r="K21" s="22"/>
    </row>
    <row r="22" spans="1:14" x14ac:dyDescent="0.25">
      <c r="C22" s="15"/>
      <c r="D22" s="16"/>
    </row>
    <row r="23" spans="1:14" ht="13" x14ac:dyDescent="0.3">
      <c r="A23">
        <v>3200</v>
      </c>
      <c r="B23">
        <v>2300</v>
      </c>
      <c r="C23" s="15">
        <f>B23/A23^0.5</f>
        <v>40.658639918226484</v>
      </c>
      <c r="D23" s="16">
        <f>C23^-1.52*119</f>
        <v>0.42622079437637272</v>
      </c>
      <c r="F23" s="22" t="s">
        <v>4</v>
      </c>
      <c r="G23" s="22"/>
      <c r="H23" s="22"/>
      <c r="I23" s="22"/>
      <c r="J23" s="22"/>
      <c r="K23" s="22"/>
    </row>
    <row r="24" spans="1:14" x14ac:dyDescent="0.25">
      <c r="C24" s="15"/>
      <c r="D24" s="16"/>
    </row>
    <row r="25" spans="1:14" ht="13" x14ac:dyDescent="0.3">
      <c r="A25">
        <v>3200</v>
      </c>
      <c r="B25">
        <v>2300</v>
      </c>
      <c r="C25" s="15">
        <f>B25/A25^0.5</f>
        <v>40.658639918226484</v>
      </c>
      <c r="D25" s="16">
        <f>C25^-1.6*242</f>
        <v>0.64442267154987498</v>
      </c>
      <c r="F25" s="22" t="s">
        <v>5</v>
      </c>
      <c r="G25" s="22"/>
      <c r="H25" s="22"/>
      <c r="I25" s="22"/>
      <c r="J25" s="22"/>
      <c r="K25" s="22"/>
      <c r="L25" s="22"/>
    </row>
    <row r="26" spans="1:14" x14ac:dyDescent="0.25">
      <c r="C26" s="15"/>
      <c r="D26" s="16"/>
    </row>
    <row r="27" spans="1:14" ht="13" x14ac:dyDescent="0.3">
      <c r="A27">
        <v>3200</v>
      </c>
      <c r="B27">
        <v>2300</v>
      </c>
      <c r="C27" s="15">
        <f>B27/A27^0.5</f>
        <v>40.658639918226484</v>
      </c>
      <c r="D27" s="16">
        <f>C27^-1.6*24</f>
        <v>6.390968643469834E-2</v>
      </c>
      <c r="F27" s="22" t="s">
        <v>6</v>
      </c>
      <c r="G27" s="22"/>
      <c r="H27" s="22"/>
      <c r="I27" s="22"/>
      <c r="J27" s="22"/>
      <c r="K27" s="22"/>
      <c r="L27" s="22"/>
    </row>
    <row r="28" spans="1:14" x14ac:dyDescent="0.25">
      <c r="C28" s="15"/>
      <c r="D28" s="16"/>
    </row>
    <row r="29" spans="1:14" ht="13" x14ac:dyDescent="0.3">
      <c r="A29">
        <v>3200</v>
      </c>
      <c r="B29">
        <v>2300</v>
      </c>
      <c r="C29" s="15">
        <f>B29/A29^0.5</f>
        <v>40.658639918226484</v>
      </c>
      <c r="D29" s="16">
        <f>C29^-1.6*605</f>
        <v>1.6110566788746874</v>
      </c>
      <c r="F29" s="22" t="s">
        <v>23</v>
      </c>
      <c r="G29" s="22"/>
      <c r="H29" s="22"/>
      <c r="I29" s="22"/>
      <c r="J29" s="22"/>
      <c r="K29" s="22"/>
      <c r="L29" s="22"/>
      <c r="M29" s="24"/>
      <c r="N29" s="24"/>
    </row>
    <row r="30" spans="1:14" x14ac:dyDescent="0.25">
      <c r="C30" s="15"/>
      <c r="D30" s="16"/>
    </row>
    <row r="31" spans="1:14" ht="13" x14ac:dyDescent="0.3">
      <c r="A31">
        <v>3200</v>
      </c>
      <c r="B31">
        <v>2300</v>
      </c>
      <c r="C31" s="15">
        <f>B31/A31^0.5</f>
        <v>40.658639918226484</v>
      </c>
      <c r="D31" s="16">
        <f>C31^-1.38*138</f>
        <v>0.83032508331772414</v>
      </c>
      <c r="F31" s="22" t="s">
        <v>7</v>
      </c>
      <c r="G31" s="22"/>
      <c r="H31" s="22"/>
      <c r="I31" s="22"/>
      <c r="J31" s="22"/>
      <c r="K31" s="22"/>
      <c r="L31" s="22"/>
    </row>
    <row r="32" spans="1:14" x14ac:dyDescent="0.25">
      <c r="C32" s="15"/>
      <c r="D32" s="16"/>
    </row>
    <row r="33" spans="1:13" ht="13" x14ac:dyDescent="0.3">
      <c r="A33">
        <v>3200</v>
      </c>
      <c r="B33">
        <v>2300</v>
      </c>
      <c r="C33" s="15">
        <f>B33/A33^0.5</f>
        <v>40.658639918226484</v>
      </c>
      <c r="D33" s="16">
        <f>C33^-1.38*52</f>
        <v>0.31287611835160617</v>
      </c>
      <c r="F33" s="22" t="s">
        <v>26</v>
      </c>
      <c r="G33" s="22"/>
      <c r="H33" s="22"/>
      <c r="I33" s="22"/>
      <c r="J33" s="22"/>
      <c r="K33" s="22"/>
      <c r="L33" s="22"/>
    </row>
    <row r="34" spans="1:13" ht="13" x14ac:dyDescent="0.3">
      <c r="C34" s="15"/>
      <c r="D34" s="16"/>
      <c r="F34" s="7"/>
      <c r="G34" s="7"/>
      <c r="H34" s="7"/>
      <c r="I34" s="7"/>
      <c r="J34" s="7"/>
      <c r="K34" s="7"/>
      <c r="L34" s="7"/>
    </row>
    <row r="35" spans="1:13" ht="15.5" x14ac:dyDescent="0.35">
      <c r="A35" s="21" t="s">
        <v>45</v>
      </c>
      <c r="C35" s="13"/>
    </row>
    <row r="36" spans="1:13" ht="13" x14ac:dyDescent="0.3">
      <c r="A36" s="1" t="s">
        <v>8</v>
      </c>
      <c r="B36" s="1" t="s">
        <v>9</v>
      </c>
      <c r="C36" s="14" t="s">
        <v>10</v>
      </c>
      <c r="D36" t="s">
        <v>11</v>
      </c>
      <c r="F36" s="2"/>
      <c r="G36" s="2"/>
      <c r="H36" s="2"/>
      <c r="I36" s="2"/>
      <c r="J36" s="2"/>
      <c r="K36" s="2"/>
      <c r="L36" s="2"/>
    </row>
    <row r="37" spans="1:13" ht="13" x14ac:dyDescent="0.3">
      <c r="A37">
        <v>450</v>
      </c>
      <c r="B37">
        <v>1050</v>
      </c>
      <c r="C37" s="13">
        <v>1.1000000000000001</v>
      </c>
      <c r="D37" s="16">
        <f>((B37/A37)^-1.52)*C37</f>
        <v>0.3034366056230095</v>
      </c>
      <c r="F37" s="23" t="s">
        <v>12</v>
      </c>
      <c r="G37" s="24"/>
      <c r="H37" s="24"/>
      <c r="I37" s="24"/>
      <c r="J37" s="24"/>
      <c r="K37" s="24"/>
      <c r="L37" s="24"/>
    </row>
    <row r="38" spans="1:13" x14ac:dyDescent="0.25">
      <c r="C38" s="13"/>
      <c r="D38" s="16"/>
      <c r="F38" s="2"/>
      <c r="G38" s="2"/>
      <c r="H38" s="2"/>
      <c r="I38" s="2"/>
      <c r="J38" s="2"/>
      <c r="K38" s="2"/>
      <c r="L38" s="2"/>
    </row>
    <row r="39" spans="1:13" ht="13" x14ac:dyDescent="0.3">
      <c r="A39">
        <v>450</v>
      </c>
      <c r="B39">
        <v>1050</v>
      </c>
      <c r="C39" s="13">
        <v>1.1000000000000001</v>
      </c>
      <c r="D39" s="16">
        <f>((B39/A39)^-1.6)*C39</f>
        <v>0.28355011560531473</v>
      </c>
      <c r="F39" s="23" t="s">
        <v>13</v>
      </c>
      <c r="G39" s="24"/>
      <c r="H39" s="24"/>
      <c r="I39" s="24"/>
      <c r="J39" s="24"/>
      <c r="K39" s="24"/>
      <c r="L39" s="24"/>
    </row>
    <row r="40" spans="1:13" x14ac:dyDescent="0.25">
      <c r="C40" s="13"/>
      <c r="D40" s="16"/>
      <c r="F40" s="2"/>
      <c r="G40" s="2"/>
      <c r="H40" s="2"/>
      <c r="I40" s="2"/>
      <c r="J40" s="2"/>
      <c r="K40" s="2"/>
      <c r="L40" s="2"/>
    </row>
    <row r="41" spans="1:13" ht="13" x14ac:dyDescent="0.3">
      <c r="A41">
        <v>450</v>
      </c>
      <c r="B41">
        <v>1050</v>
      </c>
      <c r="C41" s="13">
        <v>1.1000000000000001</v>
      </c>
      <c r="D41" s="16">
        <f>((B41/A41)^-1.35)*C41</f>
        <v>0.35044835440189759</v>
      </c>
      <c r="F41" s="23" t="s">
        <v>14</v>
      </c>
      <c r="G41" s="24"/>
      <c r="H41" s="24"/>
      <c r="I41" s="24"/>
    </row>
    <row r="42" spans="1:13" ht="13" x14ac:dyDescent="0.3">
      <c r="A42" s="5" t="s">
        <v>41</v>
      </c>
      <c r="F42" s="2"/>
      <c r="G42" s="2"/>
      <c r="H42" s="2"/>
      <c r="I42" s="2"/>
      <c r="J42" s="2"/>
      <c r="K42" s="2"/>
      <c r="L42" s="2"/>
    </row>
    <row r="43" spans="1:13" ht="13" x14ac:dyDescent="0.3">
      <c r="A43" s="5"/>
      <c r="C43" s="18"/>
      <c r="D43" s="2"/>
      <c r="E43" s="2"/>
      <c r="F43" s="2"/>
      <c r="G43" s="2"/>
      <c r="H43" s="2"/>
      <c r="I43" s="2"/>
    </row>
    <row r="44" spans="1:13" ht="15.5" x14ac:dyDescent="0.35">
      <c r="A44" s="21" t="s">
        <v>46</v>
      </c>
    </row>
    <row r="45" spans="1:13" ht="13" x14ac:dyDescent="0.3">
      <c r="A45" s="1" t="s">
        <v>17</v>
      </c>
      <c r="B45" s="3" t="s">
        <v>15</v>
      </c>
      <c r="C45" s="10"/>
      <c r="D45" s="3"/>
    </row>
    <row r="46" spans="1:13" ht="13" x14ac:dyDescent="0.3">
      <c r="A46">
        <v>4</v>
      </c>
      <c r="B46" s="17">
        <f>(A46/438)^-0.657894737</f>
        <v>21.964423840945312</v>
      </c>
      <c r="F46" s="22" t="s">
        <v>3</v>
      </c>
      <c r="G46" s="22"/>
      <c r="H46" s="22"/>
      <c r="I46" s="22"/>
      <c r="J46" s="22"/>
      <c r="K46" s="22"/>
      <c r="L46" s="22"/>
      <c r="M46" s="22"/>
    </row>
    <row r="47" spans="1:13" ht="13" x14ac:dyDescent="0.3">
      <c r="B47" s="17"/>
      <c r="F47" s="1"/>
      <c r="G47" s="1"/>
      <c r="H47" s="1"/>
      <c r="I47" s="1"/>
      <c r="J47" s="1"/>
      <c r="K47" s="1"/>
      <c r="L47" s="1"/>
      <c r="M47" s="1"/>
    </row>
    <row r="48" spans="1:13" ht="13" x14ac:dyDescent="0.3">
      <c r="A48">
        <v>4</v>
      </c>
      <c r="B48" s="17">
        <f>(A48/119)^-0.657894737</f>
        <v>9.3196439900700199</v>
      </c>
      <c r="F48" s="22" t="s">
        <v>4</v>
      </c>
      <c r="G48" s="22"/>
      <c r="H48" s="22"/>
      <c r="I48" s="22"/>
      <c r="J48" s="22"/>
      <c r="K48" s="22"/>
      <c r="L48" s="22"/>
      <c r="M48" s="22"/>
    </row>
    <row r="49" spans="1:13" ht="13" x14ac:dyDescent="0.3">
      <c r="B49" s="17"/>
      <c r="F49" s="1"/>
      <c r="G49" s="1"/>
      <c r="H49" s="1"/>
      <c r="I49" s="1"/>
      <c r="J49" s="1"/>
      <c r="K49" s="1"/>
      <c r="L49" s="1"/>
      <c r="M49" s="1"/>
    </row>
    <row r="50" spans="1:13" ht="13" x14ac:dyDescent="0.3">
      <c r="A50">
        <v>4</v>
      </c>
      <c r="B50" s="17">
        <f>(A50/242)^-0.625</f>
        <v>12.989639824320124</v>
      </c>
      <c r="F50" s="22" t="s">
        <v>5</v>
      </c>
      <c r="G50" s="22"/>
      <c r="H50" s="22"/>
      <c r="I50" s="22"/>
      <c r="J50" s="22"/>
      <c r="K50" s="22"/>
      <c r="L50" s="22"/>
      <c r="M50" s="22"/>
    </row>
    <row r="51" spans="1:13" ht="13" x14ac:dyDescent="0.3">
      <c r="B51" s="17"/>
      <c r="F51" s="1"/>
      <c r="G51" s="1"/>
      <c r="H51" s="1"/>
      <c r="I51" s="1"/>
      <c r="J51" s="1"/>
      <c r="K51" s="1"/>
      <c r="L51" s="1"/>
      <c r="M51" s="1"/>
    </row>
    <row r="52" spans="1:13" ht="13" x14ac:dyDescent="0.3">
      <c r="A52">
        <v>4</v>
      </c>
      <c r="B52" s="17">
        <f>(A52/24)^-0.625</f>
        <v>3.0643934930814161</v>
      </c>
      <c r="F52" s="22" t="s">
        <v>6</v>
      </c>
      <c r="G52" s="22"/>
      <c r="H52" s="22"/>
      <c r="I52" s="22"/>
      <c r="J52" s="22"/>
      <c r="K52" s="22"/>
      <c r="L52" s="22"/>
      <c r="M52" s="22"/>
    </row>
    <row r="53" spans="1:13" ht="13" x14ac:dyDescent="0.3">
      <c r="B53" s="17"/>
      <c r="F53" s="1"/>
      <c r="G53" s="1"/>
      <c r="H53" s="1"/>
      <c r="I53" s="1"/>
      <c r="J53" s="1"/>
      <c r="K53" s="1"/>
      <c r="L53" s="1"/>
      <c r="M53" s="1"/>
    </row>
    <row r="54" spans="1:13" ht="13" x14ac:dyDescent="0.3">
      <c r="A54">
        <v>4</v>
      </c>
      <c r="B54" s="17">
        <f>(A54/605)^-0.625</f>
        <v>23.030831322851295</v>
      </c>
      <c r="F54" s="22" t="s">
        <v>23</v>
      </c>
      <c r="G54" s="22"/>
      <c r="H54" s="22"/>
      <c r="I54" s="22"/>
      <c r="J54" s="22"/>
      <c r="K54" s="22"/>
      <c r="L54" s="22"/>
      <c r="M54" s="22"/>
    </row>
    <row r="55" spans="1:13" ht="13" x14ac:dyDescent="0.3">
      <c r="B55" s="17"/>
      <c r="F55" s="1"/>
      <c r="G55" s="1"/>
      <c r="H55" s="1"/>
      <c r="I55" s="1"/>
      <c r="J55" s="1"/>
      <c r="K55" s="1"/>
      <c r="L55" s="1"/>
      <c r="M55" s="1"/>
    </row>
    <row r="56" spans="1:13" ht="13" x14ac:dyDescent="0.3">
      <c r="A56">
        <v>4</v>
      </c>
      <c r="B56" s="17">
        <f>(A56/138)^-0.724637681</f>
        <v>13.012527575398842</v>
      </c>
      <c r="F56" s="22" t="s">
        <v>7</v>
      </c>
      <c r="G56" s="22"/>
      <c r="H56" s="22"/>
      <c r="I56" s="22"/>
      <c r="J56" s="22"/>
      <c r="K56" s="22"/>
      <c r="L56" s="22"/>
      <c r="M56" s="22"/>
    </row>
    <row r="57" spans="1:13" ht="13" x14ac:dyDescent="0.3">
      <c r="B57" s="17"/>
      <c r="F57" s="1"/>
      <c r="G57" s="1"/>
      <c r="H57" s="1"/>
      <c r="I57" s="1"/>
      <c r="J57" s="1"/>
      <c r="K57" s="1"/>
      <c r="L57" s="1"/>
      <c r="M57" s="1"/>
    </row>
    <row r="58" spans="1:13" ht="13" x14ac:dyDescent="0.3">
      <c r="A58">
        <v>4</v>
      </c>
      <c r="B58" s="17">
        <f>(A58/52.2)^-0.724637681</f>
        <v>6.4329979659217917</v>
      </c>
      <c r="C58" s="9" t="s">
        <v>24</v>
      </c>
      <c r="F58" s="22" t="s">
        <v>26</v>
      </c>
      <c r="G58" s="22"/>
      <c r="H58" s="22"/>
      <c r="I58" s="22"/>
      <c r="J58" s="22"/>
      <c r="K58" s="22"/>
      <c r="L58" s="22"/>
      <c r="M58" s="22"/>
    </row>
    <row r="59" spans="1:13" x14ac:dyDescent="0.25">
      <c r="B59" s="17"/>
    </row>
    <row r="60" spans="1:13" ht="13" x14ac:dyDescent="0.3">
      <c r="A60" s="6">
        <v>4</v>
      </c>
      <c r="B60" s="17">
        <f>(A60/160)^-0.625</f>
        <v>10.029689644980786</v>
      </c>
      <c r="F60" s="23" t="s">
        <v>25</v>
      </c>
      <c r="G60" s="24"/>
      <c r="H60" s="24"/>
      <c r="I60" s="24"/>
      <c r="J60" s="24"/>
      <c r="K60" s="24"/>
      <c r="L60" s="24"/>
    </row>
    <row r="61" spans="1:13" ht="13" x14ac:dyDescent="0.3">
      <c r="F61" s="22"/>
      <c r="G61" s="22"/>
      <c r="H61" s="22"/>
      <c r="I61" s="22"/>
      <c r="J61" s="22"/>
      <c r="K61" s="22"/>
      <c r="L61" s="22"/>
      <c r="M61" s="22"/>
    </row>
    <row r="62" spans="1:13" ht="13" x14ac:dyDescent="0.3">
      <c r="A62" s="5" t="s">
        <v>15</v>
      </c>
      <c r="B62" t="s">
        <v>17</v>
      </c>
      <c r="F62" s="1"/>
      <c r="G62" s="1"/>
      <c r="H62" s="1"/>
      <c r="I62" s="1"/>
      <c r="J62" s="1"/>
      <c r="K62" s="1"/>
      <c r="L62" s="1"/>
      <c r="M62" s="1"/>
    </row>
    <row r="63" spans="1:13" ht="13" x14ac:dyDescent="0.3">
      <c r="A63">
        <v>90</v>
      </c>
      <c r="B63" s="16">
        <f>A63^-1.52*438</f>
        <v>0.46884090561296904</v>
      </c>
      <c r="F63" s="22" t="s">
        <v>3</v>
      </c>
      <c r="G63" s="22"/>
      <c r="H63" s="22"/>
      <c r="I63" s="22"/>
      <c r="J63" s="22"/>
      <c r="K63" s="22"/>
      <c r="L63" s="22"/>
      <c r="M63" s="22"/>
    </row>
    <row r="64" spans="1:13" ht="13" x14ac:dyDescent="0.3">
      <c r="B64" s="16"/>
      <c r="F64" s="1"/>
      <c r="G64" s="1"/>
      <c r="H64" s="1"/>
      <c r="I64" s="1"/>
      <c r="J64" s="1"/>
      <c r="K64" s="1"/>
      <c r="L64" s="1"/>
      <c r="M64" s="1"/>
    </row>
    <row r="65" spans="1:15" ht="13" x14ac:dyDescent="0.3">
      <c r="A65">
        <v>90</v>
      </c>
      <c r="B65" s="16">
        <f>A65^-1.52*119</f>
        <v>0.12737915015512172</v>
      </c>
      <c r="F65" s="22" t="s">
        <v>4</v>
      </c>
      <c r="G65" s="22"/>
      <c r="H65" s="22"/>
      <c r="I65" s="22"/>
      <c r="J65" s="22"/>
      <c r="K65" s="22"/>
      <c r="L65" s="22"/>
      <c r="M65" s="22"/>
    </row>
    <row r="66" spans="1:15" ht="13" x14ac:dyDescent="0.3">
      <c r="B66" s="16"/>
      <c r="F66" s="1"/>
      <c r="G66" s="1"/>
      <c r="H66" s="1"/>
      <c r="I66" s="1"/>
      <c r="J66" s="1"/>
      <c r="K66" s="1"/>
      <c r="L66" s="1"/>
      <c r="M66" s="1"/>
    </row>
    <row r="67" spans="1:15" ht="13" x14ac:dyDescent="0.3">
      <c r="A67">
        <v>90</v>
      </c>
      <c r="B67" s="16">
        <f>A67^-1.6*242</f>
        <v>0.18072879413060311</v>
      </c>
      <c r="F67" s="22" t="s">
        <v>5</v>
      </c>
      <c r="G67" s="22"/>
      <c r="H67" s="22"/>
      <c r="I67" s="22"/>
      <c r="J67" s="22"/>
      <c r="K67" s="22"/>
      <c r="L67" s="22"/>
      <c r="M67" s="22"/>
    </row>
    <row r="68" spans="1:15" ht="13" x14ac:dyDescent="0.3">
      <c r="B68" s="16"/>
      <c r="F68" s="1"/>
      <c r="G68" s="1"/>
      <c r="H68" s="1"/>
      <c r="I68" s="1"/>
      <c r="J68" s="1"/>
      <c r="K68" s="1"/>
      <c r="L68" s="1"/>
      <c r="M68" s="1"/>
    </row>
    <row r="69" spans="1:15" ht="13" x14ac:dyDescent="0.3">
      <c r="A69">
        <v>90</v>
      </c>
      <c r="B69" s="16">
        <f>A69^-1.6*24</f>
        <v>1.7923516773282952E-2</v>
      </c>
      <c r="F69" s="22" t="s">
        <v>6</v>
      </c>
      <c r="G69" s="22"/>
      <c r="H69" s="22"/>
      <c r="I69" s="22"/>
      <c r="J69" s="22"/>
      <c r="K69" s="22"/>
      <c r="L69" s="22"/>
      <c r="M69" s="22"/>
    </row>
    <row r="70" spans="1:15" ht="13" x14ac:dyDescent="0.3">
      <c r="B70" s="16"/>
      <c r="F70" s="1"/>
      <c r="G70" s="1"/>
      <c r="H70" s="1"/>
      <c r="I70" s="1"/>
      <c r="J70" s="1"/>
      <c r="K70" s="1"/>
      <c r="L70" s="1"/>
      <c r="M70" s="1"/>
    </row>
    <row r="71" spans="1:15" ht="13" x14ac:dyDescent="0.3">
      <c r="A71">
        <v>90</v>
      </c>
      <c r="B71" s="16">
        <f>A71^-1.6*605</f>
        <v>0.45182198532650775</v>
      </c>
      <c r="F71" s="22" t="s">
        <v>23</v>
      </c>
      <c r="G71" s="22"/>
      <c r="H71" s="22"/>
      <c r="I71" s="22"/>
      <c r="J71" s="22"/>
      <c r="K71" s="22"/>
      <c r="L71" s="22"/>
      <c r="M71" s="22"/>
    </row>
    <row r="72" spans="1:15" ht="13" x14ac:dyDescent="0.3">
      <c r="B72" s="16"/>
      <c r="F72" s="1"/>
      <c r="G72" s="1"/>
      <c r="H72" s="1"/>
      <c r="I72" s="1"/>
      <c r="J72" s="1"/>
      <c r="K72" s="1"/>
      <c r="L72" s="1"/>
      <c r="M72" s="1"/>
    </row>
    <row r="73" spans="1:15" ht="13" x14ac:dyDescent="0.3">
      <c r="A73">
        <v>90</v>
      </c>
      <c r="B73" s="16">
        <f>A73^-1.38*138</f>
        <v>0.27734760719603202</v>
      </c>
      <c r="F73" s="22" t="s">
        <v>7</v>
      </c>
      <c r="G73" s="22"/>
      <c r="H73" s="22"/>
      <c r="I73" s="22"/>
      <c r="J73" s="22"/>
      <c r="K73" s="22"/>
      <c r="L73" s="22"/>
      <c r="M73" s="22"/>
    </row>
    <row r="74" spans="1:15" x14ac:dyDescent="0.25">
      <c r="B74" s="16"/>
    </row>
    <row r="75" spans="1:15" ht="13" x14ac:dyDescent="0.3">
      <c r="A75">
        <v>90</v>
      </c>
      <c r="B75" s="16">
        <f>A75^-1.38*52</f>
        <v>0.10450779401589613</v>
      </c>
      <c r="F75" s="5" t="s">
        <v>26</v>
      </c>
    </row>
    <row r="76" spans="1:15" x14ac:dyDescent="0.25">
      <c r="B76" s="16"/>
    </row>
    <row r="77" spans="1:15" ht="13" x14ac:dyDescent="0.3">
      <c r="A77">
        <v>90</v>
      </c>
      <c r="B77" s="16">
        <f>A77^-1.6*160</f>
        <v>0.11949011182188635</v>
      </c>
      <c r="F77" s="5" t="s">
        <v>25</v>
      </c>
      <c r="G77" s="5"/>
      <c r="H77" s="5"/>
      <c r="I77" s="5"/>
    </row>
    <row r="79" spans="1:15" ht="15.5" x14ac:dyDescent="0.35">
      <c r="A79" s="21" t="s">
        <v>37</v>
      </c>
    </row>
    <row r="80" spans="1:15" ht="13" x14ac:dyDescent="0.3">
      <c r="A80" s="23" t="s">
        <v>47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4"/>
      <c r="O80" s="24"/>
    </row>
    <row r="82" spans="1:15" ht="13" x14ac:dyDescent="0.3">
      <c r="A82" s="1" t="s">
        <v>17</v>
      </c>
      <c r="B82" s="1" t="s">
        <v>27</v>
      </c>
      <c r="C82" s="9" t="s">
        <v>28</v>
      </c>
    </row>
    <row r="83" spans="1:15" x14ac:dyDescent="0.25">
      <c r="A83" s="16">
        <v>0.753</v>
      </c>
      <c r="B83">
        <v>15</v>
      </c>
      <c r="C83" s="12">
        <f>A83/(B83*6.2832)</f>
        <v>7.9895594601476945E-3</v>
      </c>
    </row>
    <row r="85" spans="1:15" ht="13" x14ac:dyDescent="0.3">
      <c r="A85" s="23" t="s">
        <v>39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ht="13" x14ac:dyDescent="0.3">
      <c r="A86" s="22" t="s">
        <v>38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8" spans="1:15" ht="13" x14ac:dyDescent="0.3">
      <c r="A88" s="1" t="s">
        <v>17</v>
      </c>
      <c r="B88" s="1" t="s">
        <v>27</v>
      </c>
      <c r="C88" s="9" t="s">
        <v>30</v>
      </c>
    </row>
    <row r="89" spans="1:15" x14ac:dyDescent="0.25">
      <c r="A89">
        <v>0.75</v>
      </c>
      <c r="B89">
        <v>75</v>
      </c>
      <c r="C89" s="13">
        <f>6.2832*A89*B89/386</f>
        <v>0.915621761658031</v>
      </c>
    </row>
    <row r="92" spans="1:15" ht="13" x14ac:dyDescent="0.3">
      <c r="A92" s="1" t="s">
        <v>30</v>
      </c>
      <c r="B92" s="1" t="s">
        <v>27</v>
      </c>
      <c r="C92" s="9" t="s">
        <v>17</v>
      </c>
    </row>
    <row r="93" spans="1:15" x14ac:dyDescent="0.25">
      <c r="A93">
        <v>0.2</v>
      </c>
      <c r="B93">
        <v>9</v>
      </c>
      <c r="C93" s="13">
        <f>A93/(B93*6.2832/386)</f>
        <v>1.3651925416631301</v>
      </c>
    </row>
    <row r="96" spans="1:15" ht="13" x14ac:dyDescent="0.3">
      <c r="A96" s="1" t="s">
        <v>30</v>
      </c>
      <c r="B96" s="1" t="s">
        <v>17</v>
      </c>
      <c r="C96" s="9" t="s">
        <v>27</v>
      </c>
    </row>
    <row r="97" spans="1:12" x14ac:dyDescent="0.25">
      <c r="A97">
        <v>0.91</v>
      </c>
      <c r="B97">
        <v>0.75</v>
      </c>
      <c r="C97" s="15">
        <f>A97/(B97*6.2832/386)</f>
        <v>74.539512774806894</v>
      </c>
    </row>
    <row r="100" spans="1:12" ht="15.5" x14ac:dyDescent="0.35">
      <c r="A100" s="27" t="s">
        <v>31</v>
      </c>
      <c r="B100" s="28"/>
      <c r="C100" s="28"/>
      <c r="D100" s="28"/>
      <c r="E100" s="28"/>
    </row>
    <row r="101" spans="1:12" x14ac:dyDescent="0.25">
      <c r="C101"/>
    </row>
    <row r="102" spans="1:12" ht="13" x14ac:dyDescent="0.3">
      <c r="A102" s="1" t="s">
        <v>0</v>
      </c>
      <c r="B102" s="1" t="s">
        <v>1</v>
      </c>
      <c r="C102" t="s">
        <v>16</v>
      </c>
      <c r="D102" t="s">
        <v>2</v>
      </c>
    </row>
    <row r="103" spans="1:12" ht="13" x14ac:dyDescent="0.3">
      <c r="A103">
        <v>2.2000000000000002</v>
      </c>
      <c r="B103">
        <v>350</v>
      </c>
      <c r="C103" s="17">
        <f>B103/A103^0.5</f>
        <v>235.96995186213474</v>
      </c>
      <c r="D103" s="16">
        <f>C103^-1.5538*1522</f>
        <v>0.31294636099588968</v>
      </c>
      <c r="F103" s="29" t="s">
        <v>32</v>
      </c>
      <c r="G103" s="30"/>
      <c r="H103" s="30"/>
      <c r="I103" s="30"/>
      <c r="J103" s="30"/>
      <c r="K103" s="30"/>
      <c r="L103" s="30"/>
    </row>
    <row r="104" spans="1:12" x14ac:dyDescent="0.25">
      <c r="C104"/>
    </row>
    <row r="105" spans="1:12" ht="13" x14ac:dyDescent="0.3">
      <c r="A105">
        <v>2.2000000000000002</v>
      </c>
      <c r="B105">
        <v>350</v>
      </c>
      <c r="C105" s="17">
        <f>B105/A105^0.5</f>
        <v>235.96995186213474</v>
      </c>
      <c r="D105" s="16">
        <f>C105^-1.5538*314.35</f>
        <v>6.4635143613047258E-2</v>
      </c>
      <c r="F105" s="31" t="s">
        <v>33</v>
      </c>
      <c r="G105" s="31"/>
      <c r="H105" s="31"/>
      <c r="I105" s="31"/>
      <c r="J105" s="1"/>
      <c r="K105" s="1"/>
    </row>
    <row r="106" spans="1:12" x14ac:dyDescent="0.25">
      <c r="C106"/>
    </row>
    <row r="107" spans="1:12" ht="13" x14ac:dyDescent="0.3">
      <c r="A107" s="1" t="s">
        <v>8</v>
      </c>
      <c r="B107" s="1" t="s">
        <v>9</v>
      </c>
      <c r="C107" s="1" t="s">
        <v>10</v>
      </c>
      <c r="D107" t="s">
        <v>11</v>
      </c>
    </row>
    <row r="108" spans="1:12" ht="13" x14ac:dyDescent="0.3">
      <c r="A108">
        <v>50</v>
      </c>
      <c r="B108">
        <v>350</v>
      </c>
      <c r="C108">
        <v>2.56</v>
      </c>
      <c r="D108" s="16">
        <f>((B108/A108)^-1.5538)*C108</f>
        <v>0.12448775378218221</v>
      </c>
      <c r="F108" s="29" t="s">
        <v>31</v>
      </c>
      <c r="G108" s="30"/>
      <c r="H108" s="30"/>
      <c r="I108" s="30"/>
      <c r="J108" s="30"/>
      <c r="K108" s="30"/>
      <c r="L108" s="30"/>
    </row>
    <row r="109" spans="1:12" x14ac:dyDescent="0.25">
      <c r="C109"/>
    </row>
    <row r="110" spans="1:12" x14ac:dyDescent="0.25">
      <c r="C110"/>
    </row>
    <row r="111" spans="1:12" ht="15.5" x14ac:dyDescent="0.35">
      <c r="A111" s="21" t="s">
        <v>36</v>
      </c>
      <c r="C111"/>
    </row>
    <row r="112" spans="1:12" ht="13" x14ac:dyDescent="0.3">
      <c r="A112" s="5" t="s">
        <v>34</v>
      </c>
      <c r="B112" t="s">
        <v>35</v>
      </c>
      <c r="C112"/>
    </row>
    <row r="113" spans="1:3" x14ac:dyDescent="0.25">
      <c r="A113">
        <v>25</v>
      </c>
      <c r="B113" s="16">
        <f>0.03937007874*A113</f>
        <v>0.98425196850000007</v>
      </c>
      <c r="C113"/>
    </row>
  </sheetData>
  <mergeCells count="36">
    <mergeCell ref="A100:E100"/>
    <mergeCell ref="F103:L103"/>
    <mergeCell ref="F105:I105"/>
    <mergeCell ref="F108:L108"/>
    <mergeCell ref="A85:O85"/>
    <mergeCell ref="A86:O86"/>
    <mergeCell ref="F56:M56"/>
    <mergeCell ref="A80:O80"/>
    <mergeCell ref="F58:M58"/>
    <mergeCell ref="F69:M69"/>
    <mergeCell ref="F71:M71"/>
    <mergeCell ref="F50:M50"/>
    <mergeCell ref="F46:M46"/>
    <mergeCell ref="F48:M48"/>
    <mergeCell ref="F60:L60"/>
    <mergeCell ref="F52:M52"/>
    <mergeCell ref="F54:M54"/>
    <mergeCell ref="A4:N4"/>
    <mergeCell ref="F29:N29"/>
    <mergeCell ref="F25:L25"/>
    <mergeCell ref="F27:L27"/>
    <mergeCell ref="F31:L31"/>
    <mergeCell ref="F33:L33"/>
    <mergeCell ref="A5:N5"/>
    <mergeCell ref="C14:I14"/>
    <mergeCell ref="C15:I15"/>
    <mergeCell ref="F73:M73"/>
    <mergeCell ref="F61:M61"/>
    <mergeCell ref="F63:M63"/>
    <mergeCell ref="F65:M65"/>
    <mergeCell ref="F21:K21"/>
    <mergeCell ref="F23:K23"/>
    <mergeCell ref="F37:L37"/>
    <mergeCell ref="F39:L39"/>
    <mergeCell ref="F41:I41"/>
    <mergeCell ref="F67:M67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L29"/>
    </sheetView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 - 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Lamkie, PA DEP</dc:creator>
  <cp:lastModifiedBy>Evans, Raphael Vincent</cp:lastModifiedBy>
  <dcterms:created xsi:type="dcterms:W3CDTF">2008-01-07T20:31:16Z</dcterms:created>
  <dcterms:modified xsi:type="dcterms:W3CDTF">2020-09-25T16:39:50Z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-454147524</vt:i4>
  </property>
  <property fmtid="{D5CDD505-2E9C-101B-9397-08002B2CF9AE}" pid="3" name="_EmailSubject">
    <vt:lpwstr>XL Tools</vt:lpwstr>
  </property>
  <property fmtid="{D5CDD505-2E9C-101B-9397-08002B2CF9AE}" pid="4" name="_AuthorEmail">
    <vt:lpwstr>rlamkie@state.pa.us</vt:lpwstr>
  </property>
  <property fmtid="{D5CDD505-2E9C-101B-9397-08002B2CF9AE}" pid="5" name="_AuthorEmailDisplayName">
    <vt:lpwstr>Lamkie, Richard</vt:lpwstr>
  </property>
  <property fmtid="{D5CDD505-2E9C-101B-9397-08002B2CF9AE}" pid="6" name="_PreviousAdHocReviewCycleID">
    <vt:i4>-861486830</vt:i4>
  </property>
  <property fmtid="{D5CDD505-2E9C-101B-9397-08002B2CF9AE}" pid="7" name="_ReviewingToolsShownOnce">
    <vt:lpwstr/>
  </property>
</Properties>
</file>